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697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C26" i="7" l="1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Q26" i="7" s="1"/>
  <c r="F26" i="7"/>
  <c r="C25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H25" i="7"/>
  <c r="F25" i="7"/>
  <c r="W24" i="7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H24" i="7"/>
  <c r="Q24" i="7" s="1"/>
  <c r="F24" i="7"/>
  <c r="C24" i="7"/>
  <c r="Q25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20" i="7"/>
  <c r="C14" i="7"/>
  <c r="C12" i="7"/>
  <c r="C19" i="7"/>
  <c r="C16" i="7"/>
  <c r="C15" i="7"/>
  <c r="C17" i="7"/>
  <c r="C22" i="7"/>
  <c r="C13" i="7"/>
  <c r="C23" i="7"/>
  <c r="C18" i="7"/>
  <c r="C21" i="7"/>
</calcChain>
</file>

<file path=xl/sharedStrings.xml><?xml version="1.0" encoding="utf-8"?>
<sst xmlns="http://schemas.openxmlformats.org/spreadsheetml/2006/main" count="1377" uniqueCount="684">
  <si>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</si>
  <si>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</si>
  <si>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</si>
  <si>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</si>
  <si>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</si>
  <si>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</si>
  <si>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</si>
  <si>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</si>
  <si>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</si>
  <si>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</si>
  <si>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</si>
  <si>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</si>
  <si>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</si>
  <si>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</si>
  <si>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</si>
  <si>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</si>
  <si>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</si>
  <si>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</si>
  <si>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</si>
  <si>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</si>
  <si>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</si>
  <si>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</si>
  <si>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</si>
  <si>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</si>
  <si>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</si>
  <si>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</si>
  <si>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</si>
  <si>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</si>
  <si>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</si>
  <si>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</si>
  <si>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</si>
  <si>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</si>
  <si>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</si>
  <si>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</si>
  <si>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</si>
  <si>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</si>
  <si>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</si>
  <si>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</si>
  <si>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</si>
  <si>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</si>
  <si>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</si>
  <si>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</si>
  <si>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</si>
  <si>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</si>
  <si>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</si>
  <si>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</si>
  <si>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</si>
  <si>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</si>
  <si>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</si>
  <si>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</si>
  <si>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</si>
  <si>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</si>
  <si>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</si>
  <si>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</si>
  <si>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</si>
  <si>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</si>
  <si>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</si>
  <si>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</si>
  <si>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</si>
  <si>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</si>
  <si>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</si>
  <si>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</si>
  <si>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</si>
  <si>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</si>
  <si>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</si>
  <si>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</si>
  <si>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</si>
  <si>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</si>
  <si>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</si>
  <si>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</si>
  <si>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</si>
  <si>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</si>
  <si>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</si>
  <si>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</si>
  <si>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</si>
  <si>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</si>
  <si>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</si>
  <si>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</si>
  <si>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</si>
  <si>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</si>
  <si>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</si>
  <si>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</si>
  <si>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</si>
  <si>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</si>
  <si>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</si>
  <si>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</si>
  <si>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</si>
  <si>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</si>
  <si>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</si>
  <si>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</si>
  <si>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</si>
  <si>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</si>
  <si>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</si>
  <si>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</si>
  <si>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</si>
  <si>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</si>
  <si>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</si>
  <si>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</si>
  <si>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</si>
  <si>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</si>
  <si>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</si>
  <si>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</si>
  <si>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</si>
  <si>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</si>
  <si>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</si>
  <si>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</si>
  <si>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</si>
  <si>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</si>
  <si>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</si>
  <si>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</si>
  <si>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</si>
  <si>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</si>
  <si>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</si>
  <si>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</si>
  <si>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</si>
  <si>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</si>
  <si>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</si>
  <si>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</si>
  <si>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</si>
  <si>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</si>
  <si>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</si>
  <si>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</si>
  <si>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</si>
  <si>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</si>
  <si>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</si>
  <si>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</si>
  <si>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</si>
  <si>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</si>
  <si>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</si>
  <si>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</si>
  <si>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</si>
  <si>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</si>
  <si>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</si>
  <si>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</si>
  <si>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</si>
  <si>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</si>
  <si>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</si>
  <si>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</si>
  <si>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</si>
  <si>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</si>
  <si>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</si>
  <si>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</si>
  <si>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</si>
  <si>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</si>
  <si>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</si>
  <si>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</si>
  <si>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</si>
  <si>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</si>
  <si>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</si>
  <si>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</si>
  <si>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</si>
  <si>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</si>
  <si>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</si>
  <si>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</si>
  <si>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</si>
  <si>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</si>
  <si>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</si>
  <si>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</si>
  <si>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</si>
  <si>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</si>
  <si>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</si>
  <si>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</si>
  <si>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</si>
  <si>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</si>
  <si>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</si>
  <si>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</si>
  <si>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</si>
  <si>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</si>
  <si>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</si>
  <si>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</si>
  <si>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</si>
  <si>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</si>
  <si>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</si>
  <si>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</si>
  <si>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</si>
  <si>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</si>
  <si>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</si>
  <si>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</si>
  <si>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</si>
  <si>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</si>
  <si>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</si>
  <si>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</si>
  <si>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</si>
  <si>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</si>
  <si>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</si>
  <si>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</si>
  <si>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</si>
  <si>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</si>
  <si>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</si>
  <si>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</si>
  <si>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</si>
  <si>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</si>
  <si>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</si>
  <si>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</si>
  <si>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</si>
  <si>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</si>
  <si>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</si>
  <si>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</si>
  <si>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</si>
  <si>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</si>
  <si>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</si>
  <si>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</si>
  <si>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</si>
  <si>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</si>
  <si>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</si>
  <si>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</si>
  <si>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</si>
  <si>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</si>
  <si>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</si>
  <si>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</si>
  <si>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</si>
  <si>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</si>
  <si>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</si>
  <si>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</si>
  <si>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</si>
  <si>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</si>
  <si>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</si>
  <si>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</si>
  <si>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</si>
  <si>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</si>
  <si>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</si>
  <si>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</si>
  <si>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</si>
  <si>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</si>
  <si>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</si>
  <si>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</si>
  <si>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</si>
  <si>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</si>
  <si>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</si>
  <si>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</si>
  <si>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</si>
  <si>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</si>
  <si>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</si>
  <si>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</si>
  <si>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</si>
  <si>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</si>
  <si>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</si>
  <si>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</si>
  <si>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</si>
  <si>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</si>
  <si>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</si>
  <si>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</si>
  <si>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</si>
  <si>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</si>
  <si>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</si>
  <si>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</si>
  <si>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</si>
  <si>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</si>
  <si>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</si>
  <si>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</si>
  <si>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</si>
  <si>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</si>
  <si>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</si>
  <si>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</si>
  <si>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</si>
  <si>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</si>
  <si>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</si>
  <si>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</si>
  <si>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</si>
  <si>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</si>
  <si>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</si>
  <si>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</si>
  <si>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</si>
  <si>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</si>
  <si>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</si>
  <si>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</si>
  <si>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</si>
  <si>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</si>
  <si>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</si>
  <si>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</si>
  <si>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</si>
  <si>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</si>
  <si>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</si>
  <si>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</si>
  <si>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</si>
  <si>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</si>
  <si>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</si>
  <si>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</si>
  <si>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</si>
  <si>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</si>
  <si>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</si>
  <si>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</si>
  <si>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</si>
  <si>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</si>
  <si>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</si>
  <si>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</si>
  <si>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</si>
  <si>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</si>
  <si>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</si>
  <si>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</si>
  <si>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</si>
  <si>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</si>
  <si>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</si>
  <si>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</si>
  <si>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</si>
  <si>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</si>
  <si>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</si>
  <si>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</si>
  <si>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</si>
  <si>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</si>
  <si>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</si>
  <si>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</si>
  <si>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</si>
  <si>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</si>
  <si>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</si>
  <si>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</si>
  <si>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</si>
  <si>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</si>
  <si>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</si>
  <si>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</si>
  <si>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</si>
  <si>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</si>
  <si>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</si>
  <si>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</si>
  <si>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</si>
  <si>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</si>
  <si>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</si>
  <si>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</si>
  <si>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</si>
  <si>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</si>
  <si>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</si>
  <si>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</si>
  <si>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</si>
  <si>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</si>
  <si>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</si>
  <si>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</si>
  <si>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</si>
  <si>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</si>
  <si>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</si>
  <si>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</si>
  <si>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</si>
  <si>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</si>
  <si>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</si>
  <si>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</si>
  <si>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</si>
  <si>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</si>
  <si>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</si>
  <si>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</si>
  <si>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</si>
  <si>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</si>
  <si>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</si>
  <si>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</si>
  <si>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</si>
  <si>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</si>
  <si>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</si>
  <si>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</si>
  <si>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</si>
  <si>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</si>
  <si>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</si>
  <si>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</si>
  <si>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</si>
  <si>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</si>
  <si>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</si>
  <si>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</si>
  <si>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</si>
  <si>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</si>
  <si>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</si>
  <si>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</si>
  <si>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</si>
  <si>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</si>
  <si>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</si>
  <si>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</si>
  <si>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</si>
  <si>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</si>
  <si>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</si>
  <si>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</si>
  <si>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</si>
  <si>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</si>
  <si>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</si>
  <si>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</si>
  <si>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</si>
  <si>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</si>
  <si>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</si>
  <si>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</si>
  <si>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</si>
  <si>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</si>
  <si>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</si>
  <si>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</si>
  <si>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</si>
  <si>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</si>
  <si>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</si>
  <si>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</si>
  <si>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</si>
  <si>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</si>
  <si>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</si>
  <si>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</si>
  <si>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</si>
  <si>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</si>
  <si>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</si>
  <si>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</si>
  <si>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</si>
  <si>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</si>
  <si>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</si>
  <si>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</si>
  <si>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</si>
  <si>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</si>
  <si>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</si>
  <si>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</si>
  <si>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</si>
  <si>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</si>
  <si>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</si>
  <si>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</si>
  <si>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</si>
  <si>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</si>
  <si>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</si>
  <si>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</si>
  <si>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</si>
  <si>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</si>
  <si>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</si>
  <si>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</si>
  <si>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</si>
  <si>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</si>
  <si>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</si>
  <si>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</si>
  <si>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</si>
  <si>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</si>
  <si>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</si>
  <si>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</si>
  <si>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</si>
  <si>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</si>
  <si>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</si>
  <si>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</si>
  <si>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</si>
  <si>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</si>
  <si>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</si>
  <si>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</si>
  <si>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</si>
  <si>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</si>
  <si>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</si>
  <si>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</si>
  <si>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</si>
  <si>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</si>
  <si>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</si>
  <si>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</si>
  <si>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</si>
  <si>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</si>
  <si>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</si>
  <si>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</si>
  <si>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</si>
  <si>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</si>
  <si>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</si>
  <si>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</si>
  <si>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</si>
  <si>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</si>
  <si>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</si>
  <si>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</si>
  <si>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</si>
  <si>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</si>
  <si>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</si>
  <si>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</si>
  <si>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</si>
  <si>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</si>
  <si>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</si>
  <si>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</si>
  <si>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</si>
  <si>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</si>
  <si>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</si>
  <si>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</si>
  <si>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</si>
  <si>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</si>
  <si>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</si>
  <si>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</si>
  <si>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</si>
  <si>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</si>
  <si>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</si>
  <si>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</si>
  <si>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</si>
  <si>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</si>
  <si>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</si>
  <si>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</si>
  <si>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</si>
  <si>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</si>
  <si>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</si>
  <si>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</si>
  <si>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</si>
  <si>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</si>
  <si>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</si>
  <si>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</si>
  <si>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</si>
  <si>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</si>
  <si>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</si>
  <si>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</si>
  <si>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</si>
  <si>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</si>
  <si>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</si>
  <si>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</si>
  <si>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</si>
  <si>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</si>
  <si>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</si>
  <si>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</si>
  <si>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</si>
  <si>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</si>
  <si>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</si>
  <si>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</si>
  <si>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</si>
  <si>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</si>
  <si>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</si>
  <si>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</si>
  <si>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</si>
  <si>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</si>
  <si>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</si>
  <si>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</si>
  <si>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</si>
  <si>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</si>
  <si>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</si>
  <si>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</si>
  <si>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</si>
  <si>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</si>
  <si>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</si>
  <si>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</si>
  <si>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</si>
  <si>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</si>
  <si>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</si>
  <si>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</si>
  <si>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</si>
  <si>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</si>
  <si>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</si>
  <si>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</si>
  <si>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</si>
  <si>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</si>
  <si>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</si>
  <si>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</si>
  <si>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</si>
  <si>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</si>
  <si>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</si>
  <si>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</si>
  <si>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</si>
  <si>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</si>
  <si>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</si>
  <si>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</si>
  <si>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</si>
  <si>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</si>
  <si>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</si>
  <si>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</si>
  <si>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</si>
  <si>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</si>
  <si>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</si>
  <si>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</si>
  <si>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</si>
  <si>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</si>
  <si>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</si>
  <si>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</si>
  <si>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</si>
  <si>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</si>
  <si>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</si>
  <si>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</si>
  <si>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</si>
  <si>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</si>
  <si>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</si>
  <si>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</si>
  <si>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</si>
  <si>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</si>
  <si>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</si>
  <si>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</si>
  <si>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</si>
  <si>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</si>
  <si>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</si>
  <si>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</si>
  <si>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</si>
  <si>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</si>
  <si>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</si>
  <si>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</si>
  <si>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</si>
  <si>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</si>
  <si>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</si>
  <si>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</si>
  <si>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</si>
  <si>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</si>
  <si>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</si>
  <si>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</si>
  <si>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</si>
  <si>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</si>
  <si>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</si>
  <si>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</si>
  <si>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</si>
  <si>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</si>
  <si>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</si>
  <si>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</si>
  <si>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</si>
  <si>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</si>
  <si>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</si>
  <si>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</si>
  <si>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</si>
  <si>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</si>
  <si>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</si>
  <si>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</si>
  <si>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</si>
  <si>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</si>
  <si>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</si>
  <si>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</si>
  <si>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</si>
  <si>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</si>
  <si>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</si>
  <si>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</si>
  <si>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</si>
  <si>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</si>
  <si>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</si>
  <si>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</si>
  <si>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</si>
  <si>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</si>
  <si>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</si>
  <si>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</si>
  <si>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</si>
  <si>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</si>
  <si>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</si>
  <si>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</si>
  <si>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</si>
  <si>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</si>
  <si>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</si>
  <si>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</si>
  <si>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</si>
  <si>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</si>
  <si>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</si>
  <si>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</si>
  <si>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</si>
  <si>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</si>
  <si>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</si>
  <si>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</si>
  <si>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</si>
  <si>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</si>
  <si>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</si>
  <si>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</si>
  <si>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</si>
  <si>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</si>
  <si>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</si>
  <si>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</si>
  <si>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</si>
  <si>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</si>
  <si>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</si>
  <si>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</si>
  <si>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</si>
  <si>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</si>
  <si>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</si>
  <si>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</si>
  <si>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</si>
  <si>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</si>
  <si>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</si>
  <si>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</si>
  <si>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</si>
  <si>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</si>
  <si>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</si>
  <si>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</si>
  <si>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</si>
  <si>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</si>
  <si>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</si>
  <si>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</si>
  <si>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</si>
  <si>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</si>
  <si>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</si>
  <si>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</si>
  <si>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</si>
  <si>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</si>
  <si>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</si>
  <si>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</si>
  <si>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</si>
  <si>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Lutherstadt Wittenberg GmbH</t>
  </si>
  <si>
    <t>9870047200009</t>
  </si>
  <si>
    <t>Lucas-Cranach-Str. 22</t>
  </si>
  <si>
    <t>D-06886</t>
  </si>
  <si>
    <t>Lutherstadt Wittenberg</t>
  </si>
  <si>
    <t>Thomas Vier</t>
  </si>
  <si>
    <t>thomas.vier@stadtwerke.wittenberg.de</t>
  </si>
  <si>
    <t>03491/ 470-262</t>
  </si>
  <si>
    <t>Netzgebiet SLW</t>
  </si>
  <si>
    <t>GASPOOLNH7004721</t>
  </si>
  <si>
    <t>DWD - 10474</t>
  </si>
  <si>
    <t>Deutscher Wetterdienst</t>
  </si>
  <si>
    <t>DE_HEF04</t>
  </si>
  <si>
    <t>Wittenberg ZT1</t>
  </si>
  <si>
    <t>DE_GHA33</t>
  </si>
  <si>
    <t>DE_GKO33</t>
  </si>
  <si>
    <t>DE_GMK33</t>
  </si>
  <si>
    <t>DE_GBD33</t>
  </si>
  <si>
    <t>DE_GGA33</t>
  </si>
  <si>
    <t>DE_GBH33</t>
  </si>
  <si>
    <t>DE_GWA33</t>
  </si>
  <si>
    <t>DE_GGB33</t>
  </si>
  <si>
    <t>DE_GBA33</t>
  </si>
  <si>
    <t>DE_GPD33</t>
  </si>
  <si>
    <t>DE_GMF33</t>
  </si>
  <si>
    <t>DE_GHD33</t>
  </si>
  <si>
    <t>DE_HEF33</t>
  </si>
  <si>
    <t>DE_HMF33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</si>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</sst>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8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Normal="10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42999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43101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658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Netzgebiet SLW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80" priority="2">
      <formula>IF(CELL("Zeile",D29)&lt;$D$25+CELL("Zeile",$D$29),1,0)</formula>
    </cfRule>
  </conditionalFormatting>
  <conditionalFormatting sqref="D30:D48">
    <cfRule type="expression" dxfId="7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Normal="10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Lutherstadt Wittenberg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Netzgebiet SLW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9870047200009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43101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258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336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664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369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665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78" priority="21">
      <formula>IF($D$11="Gaspool",1,0)</formula>
    </cfRule>
  </conditionalFormatting>
  <conditionalFormatting sqref="D16">
    <cfRule type="expression" dxfId="77" priority="18">
      <formula>IF($D$11="NCG",1,0)</formula>
    </cfRule>
  </conditionalFormatting>
  <conditionalFormatting sqref="D48:D62">
    <cfRule type="expression" dxfId="76" priority="17">
      <formula>IF(CELL("Zeile",D48)&lt;$D$46+CELL("Zeile",$D$48),1,0)</formula>
    </cfRule>
  </conditionalFormatting>
  <conditionalFormatting sqref="D49:D62">
    <cfRule type="expression" dxfId="75" priority="16">
      <formula>IF(CELL(D49)&lt;$D$36+27,1,0)</formula>
    </cfRule>
  </conditionalFormatting>
  <conditionalFormatting sqref="D23">
    <cfRule type="expression" dxfId="74" priority="15">
      <formula>IF($D$22=$H$22,1,0)</formula>
    </cfRule>
  </conditionalFormatting>
  <conditionalFormatting sqref="D31">
    <cfRule type="expression" dxfId="73" priority="4">
      <formula>IF($D$18="synthetisch",1,0)</formula>
    </cfRule>
  </conditionalFormatting>
  <conditionalFormatting sqref="D28">
    <cfRule type="expression" dxfId="72" priority="2">
      <formula>IF(AND($D$27=$I$27,$D$26=$H$26),1,0)</formula>
    </cfRule>
  </conditionalFormatting>
  <conditionalFormatting sqref="D26:D28">
    <cfRule type="expression" dxfId="71" priority="5">
      <formula>IF($D$18="analytisch",1,0)</formula>
    </cfRule>
  </conditionalFormatting>
  <conditionalFormatting sqref="D27">
    <cfRule type="expression" dxfId="7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9" zoomScaleNormal="100" workbookViewId="0">
      <selection activeCell="E78" sqref="E7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Lutherstadt Wittenberg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Netzgebiet SLW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9870047200009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43101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DWD - 10474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666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666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668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56">
        <v>10474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Deutscher Wetterdienst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Wittenberg ZT1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10474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8" priority="28">
      <formula>IF(E$20&lt;=$F$18,1,0)</formula>
    </cfRule>
  </conditionalFormatting>
  <conditionalFormatting sqref="E32:N36">
    <cfRule type="expression" dxfId="67" priority="27">
      <formula>IF(E$30&lt;=$F$28,1,0)</formula>
    </cfRule>
  </conditionalFormatting>
  <conditionalFormatting sqref="E26:F26">
    <cfRule type="expression" dxfId="66" priority="26">
      <formula>IF(E$20&lt;=$F$18,1,0)</formula>
    </cfRule>
  </conditionalFormatting>
  <conditionalFormatting sqref="E26:N26">
    <cfRule type="expression" dxfId="65" priority="25">
      <formula>IF(E$20&lt;=$F$18,1,0)</formula>
    </cfRule>
  </conditionalFormatting>
  <conditionalFormatting sqref="E56:N59">
    <cfRule type="expression" dxfId="64" priority="22">
      <formula>IF(E$54&lt;=$F$52,1,0)</formula>
    </cfRule>
  </conditionalFormatting>
  <conditionalFormatting sqref="E60:N60">
    <cfRule type="expression" dxfId="63" priority="21">
      <formula>IF(E$54&lt;=$F$52,1,0)</formula>
    </cfRule>
  </conditionalFormatting>
  <conditionalFormatting sqref="E66:N68">
    <cfRule type="expression" dxfId="62" priority="15">
      <formula>IF(E$64&lt;=$F$62,1,0)</formula>
    </cfRule>
  </conditionalFormatting>
  <conditionalFormatting sqref="E65:N68 E70:N70">
    <cfRule type="expression" dxfId="61" priority="13">
      <formula>IF(E$64&gt;$F$62,1,0)</formula>
    </cfRule>
  </conditionalFormatting>
  <conditionalFormatting sqref="E56:N60">
    <cfRule type="expression" dxfId="60" priority="12">
      <formula>IF(E$54&gt;$F$52,1,0)</formula>
    </cfRule>
  </conditionalFormatting>
  <conditionalFormatting sqref="E21:N26">
    <cfRule type="expression" dxfId="59" priority="11">
      <formula>IF(E$20&gt;$F$18,1,0)</formula>
    </cfRule>
  </conditionalFormatting>
  <conditionalFormatting sqref="E32:N36">
    <cfRule type="expression" dxfId="58" priority="10">
      <formula>IF(E$30&gt;$F$28,1,0)</formula>
    </cfRule>
  </conditionalFormatting>
  <conditionalFormatting sqref="H11 H8:H9">
    <cfRule type="expression" dxfId="57" priority="9">
      <formula>IF($F$9=1,1,0)</formula>
    </cfRule>
  </conditionalFormatting>
  <conditionalFormatting sqref="E55:N55">
    <cfRule type="expression" dxfId="56" priority="8">
      <formula>IF(E$54&gt;$F$52,1,0)</formula>
    </cfRule>
  </conditionalFormatting>
  <conditionalFormatting sqref="E31:N31">
    <cfRule type="expression" dxfId="55" priority="7">
      <formula>IF(E$30&gt;$F$28,1,0)</formula>
    </cfRule>
  </conditionalFormatting>
  <conditionalFormatting sqref="E70:N70">
    <cfRule type="expression" dxfId="54" priority="6">
      <formula>IF(E$64&lt;=$F$62,1,0)</formula>
    </cfRule>
  </conditionalFormatting>
  <conditionalFormatting sqref="H10">
    <cfRule type="expression" dxfId="53" priority="5">
      <formula>IF($F$9=1,1,0)</formula>
    </cfRule>
  </conditionalFormatting>
  <conditionalFormatting sqref="E69:N69">
    <cfRule type="expression" dxfId="52" priority="2">
      <formula>IF(E$64&lt;=$F$62,1,0)</formula>
    </cfRule>
  </conditionalFormatting>
  <conditionalFormatting sqref="E69:N69">
    <cfRule type="expression" dxfId="5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Lutherstadt Wittenberg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Netzgebiet SLW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9870047200009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43101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0" priority="18">
      <formula>IF(E$20&lt;=$F$18,1,0)</formula>
    </cfRule>
  </conditionalFormatting>
  <conditionalFormatting sqref="E32:N36">
    <cfRule type="expression" dxfId="49" priority="17">
      <formula>IF(E$30&lt;=$F$28,1,0)</formula>
    </cfRule>
  </conditionalFormatting>
  <conditionalFormatting sqref="E26:F26">
    <cfRule type="expression" dxfId="48" priority="16">
      <formula>IF(E$20&lt;=$F$18,1,0)</formula>
    </cfRule>
  </conditionalFormatting>
  <conditionalFormatting sqref="E26:N26">
    <cfRule type="expression" dxfId="47" priority="15">
      <formula>IF(E$20&lt;=$F$18,1,0)</formula>
    </cfRule>
  </conditionalFormatting>
  <conditionalFormatting sqref="E56:N59">
    <cfRule type="expression" dxfId="46" priority="14">
      <formula>IF(E$54&lt;=$F$52,1,0)</formula>
    </cfRule>
  </conditionalFormatting>
  <conditionalFormatting sqref="E60:N60">
    <cfRule type="expression" dxfId="45" priority="13">
      <formula>IF(E$54&lt;=$F$52,1,0)</formula>
    </cfRule>
  </conditionalFormatting>
  <conditionalFormatting sqref="E66:N68">
    <cfRule type="expression" dxfId="44" priority="12">
      <formula>IF(E$64&lt;=$F$62,1,0)</formula>
    </cfRule>
  </conditionalFormatting>
  <conditionalFormatting sqref="E65:N68 E70:N70">
    <cfRule type="expression" dxfId="43" priority="11">
      <formula>IF(E$64&gt;$F$62,1,0)</formula>
    </cfRule>
  </conditionalFormatting>
  <conditionalFormatting sqref="E56:N60">
    <cfRule type="expression" dxfId="42" priority="10">
      <formula>IF(E$54&gt;$F$52,1,0)</formula>
    </cfRule>
  </conditionalFormatting>
  <conditionalFormatting sqref="E21:N26">
    <cfRule type="expression" dxfId="41" priority="9">
      <formula>IF(E$20&gt;$F$18,1,0)</formula>
    </cfRule>
  </conditionalFormatting>
  <conditionalFormatting sqref="E32:N36">
    <cfRule type="expression" dxfId="40" priority="8">
      <formula>IF(E$30&gt;$F$28,1,0)</formula>
    </cfRule>
  </conditionalFormatting>
  <conditionalFormatting sqref="H11 H8:H9">
    <cfRule type="expression" dxfId="39" priority="7">
      <formula>IF($F$9=1,1,0)</formula>
    </cfRule>
  </conditionalFormatting>
  <conditionalFormatting sqref="E55:N55">
    <cfRule type="expression" dxfId="38" priority="6">
      <formula>IF(E$54&gt;$F$52,1,0)</formula>
    </cfRule>
  </conditionalFormatting>
  <conditionalFormatting sqref="E31:N31">
    <cfRule type="expression" dxfId="37" priority="5">
      <formula>IF(E$30&gt;$F$28,1,0)</formula>
    </cfRule>
  </conditionalFormatting>
  <conditionalFormatting sqref="E70:N70">
    <cfRule type="expression" dxfId="36" priority="4">
      <formula>IF(E$64&lt;=$F$62,1,0)</formula>
    </cfRule>
  </conditionalFormatting>
  <conditionalFormatting sqref="H10">
    <cfRule type="expression" dxfId="35" priority="3">
      <formula>IF($F$9=1,1,0)</formula>
    </cfRule>
  </conditionalFormatting>
  <conditionalFormatting sqref="E69:N69">
    <cfRule type="expression" dxfId="34" priority="2">
      <formula>IF(E$64&lt;=$F$62,1,0)</formula>
    </cfRule>
  </conditionalFormatting>
  <conditionalFormatting sqref="E69:N69">
    <cfRule type="expression" dxfId="3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B4" zoomScaleNormal="100" workbookViewId="0">
      <pane xSplit="6" ySplit="7" topLeftCell="O11" activePane="bottomRight" state="frozen"/>
      <selection activeCell="B4" sqref="B4"/>
      <selection pane="topRight" activeCell="H4" sqref="H4"/>
      <selection pane="bottomLeft" activeCell="B11" sqref="B11"/>
      <selection pane="bottomRight" activeCell="Z6" sqref="Z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Lutherstadt Wittenberg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Netzgebiet SLW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9870047200009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43101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667</v>
      </c>
      <c r="F11" s="296" t="str">
        <f>VLOOKUP($E11,'BDEW-Standard'!$B$3:$M$158,F$9,0)</f>
        <v>D14</v>
      </c>
      <c r="H11" s="167">
        <f>ROUND(VLOOKUP($E11,'BDEW-Standard'!$B$3:$M$158,H$9,0),7)</f>
        <v>3.1850190999999999</v>
      </c>
      <c r="I11" s="167">
        <f>ROUND(VLOOKUP($E11,'BDEW-Standard'!$B$3:$M$158,I$9,0),7)</f>
        <v>-37.412415500000002</v>
      </c>
      <c r="J11" s="167">
        <f>ROUND(VLOOKUP($E11,'BDEW-Standard'!$B$3:$M$158,J$9,0),7)</f>
        <v>6.1723179000000004</v>
      </c>
      <c r="K11" s="167">
        <f>ROUND(VLOOKUP($E11,'BDEW-Standard'!$B$3:$M$158,K$9,0),7)</f>
        <v>7.6109599999999999E-2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0.95508749343949439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26" si="0">$D$6</f>
        <v>Netzgebiet SLW</v>
      </c>
      <c r="D12" s="62" t="s">
        <v>246</v>
      </c>
      <c r="E12" s="165" t="s">
        <v>671</v>
      </c>
      <c r="F12" s="297" t="str">
        <f>VLOOKUP($E12,'BDEW-Standard'!$B$3:$M$94,F$9,0)</f>
        <v>KM3</v>
      </c>
      <c r="H12" s="274">
        <f>ROUND(VLOOKUP($E12,'BDEW-Standard'!$B$3:$M$94,H$9,0),7)</f>
        <v>1.4202418999999999</v>
      </c>
      <c r="I12" s="274">
        <f>ROUND(VLOOKUP($E12,'BDEW-Standard'!$B$3:$M$94,I$9,0),7)</f>
        <v>-34.880612999999997</v>
      </c>
      <c r="J12" s="274">
        <f>ROUND(VLOOKUP($E12,'BDEW-Standard'!$B$3:$M$94,J$9,0),7)</f>
        <v>6.5951899000000003</v>
      </c>
      <c r="K12" s="274">
        <f>ROUND(VLOOKUP($E12,'BDEW-Standard'!$B$3:$M$94,K$9,0),7)</f>
        <v>3.8531700000000002E-2</v>
      </c>
      <c r="L12" s="338">
        <f>ROUND(VLOOKUP($E12,'BDEW-Standard'!$B$3:$M$94,L$9,0),1)</f>
        <v>40</v>
      </c>
      <c r="M12" s="274">
        <f>ROUND(VLOOKUP($E12,'BDEW-Standard'!$B$3:$M$94,M$9,0),7)</f>
        <v>-5.2108399999999999E-2</v>
      </c>
      <c r="N12" s="274">
        <f>ROUND(VLOOKUP($E12,'BDEW-Standard'!$B$3:$M$94,N$9,0),7)</f>
        <v>0.86479189999999995</v>
      </c>
      <c r="O12" s="274">
        <f>ROUND(VLOOKUP($E12,'BDEW-Standard'!$B$3:$M$94,O$9,0),7)</f>
        <v>-1.4369000000000001E-3</v>
      </c>
      <c r="P12" s="274">
        <f>ROUND(VLOOKUP($E12,'BDEW-Standard'!$B$3:$M$94,P$9,0),7)</f>
        <v>6.3760200000000003E-2</v>
      </c>
      <c r="Q12" s="339">
        <f t="shared" ref="Q12:Q26" si="1">($H12/(1+($I12/($Q$9-$L12))^$J12)+$K12)+MAX($M12*$Q$9+$N12,$O12*$Q$9+$P12)</f>
        <v>1.0000002125085892</v>
      </c>
      <c r="R12" s="275">
        <f>ROUND(VLOOKUP(MID($E12,4,3),'Wochentag F(WT)'!$B$7:$J$22,R$9,0),4)</f>
        <v>1.0699000000000001</v>
      </c>
      <c r="S12" s="275">
        <f>ROUND(VLOOKUP(MID($E12,4,3),'Wochentag F(WT)'!$B$7:$J$22,S$9,0),4)</f>
        <v>1.0365</v>
      </c>
      <c r="T12" s="275">
        <f>ROUND(VLOOKUP(MID($E12,4,3),'Wochentag F(WT)'!$B$7:$J$22,T$9,0),4)</f>
        <v>0.99329999999999996</v>
      </c>
      <c r="U12" s="275">
        <f>ROUND(VLOOKUP(MID($E12,4,3),'Wochentag F(WT)'!$B$7:$J$22,U$9,0),4)</f>
        <v>0.99480000000000002</v>
      </c>
      <c r="V12" s="275">
        <f>ROUND(VLOOKUP(MID($E12,4,3),'Wochentag F(WT)'!$B$7:$J$22,V$9,0),4)</f>
        <v>1.0659000000000001</v>
      </c>
      <c r="W12" s="275">
        <f>ROUND(VLOOKUP(MID($E12,4,3),'Wochentag F(WT)'!$B$7:$J$22,W$9,0),4)</f>
        <v>0.93620000000000003</v>
      </c>
      <c r="X12" s="276">
        <f>7-SUM(R12:W12)</f>
        <v>0.90339999999999954</v>
      </c>
      <c r="Y12" s="293">
        <v>329.62799999999999</v>
      </c>
      <c r="Z12" s="211"/>
    </row>
    <row r="13" spans="2:26" s="143" customFormat="1">
      <c r="B13" s="144">
        <v>2</v>
      </c>
      <c r="C13" s="145" t="str">
        <f t="shared" si="0"/>
        <v>Netzgebiet SLW</v>
      </c>
      <c r="D13" s="62" t="s">
        <v>246</v>
      </c>
      <c r="E13" s="165" t="s">
        <v>669</v>
      </c>
      <c r="F13" s="297" t="str">
        <f>VLOOKUP($E13,'BDEW-Standard'!$B$3:$M$94,F$9,0)</f>
        <v>AH3</v>
      </c>
      <c r="H13" s="274">
        <f>ROUND(VLOOKUP($E13,'BDEW-Standard'!$B$3:$M$94,H$9,0),7)</f>
        <v>1.9724775000000001</v>
      </c>
      <c r="I13" s="274">
        <f>ROUND(VLOOKUP($E13,'BDEW-Standard'!$B$3:$M$94,I$9,0),7)</f>
        <v>-36.965006500000001</v>
      </c>
      <c r="J13" s="274">
        <f>ROUND(VLOOKUP($E13,'BDEW-Standard'!$B$3:$M$94,J$9,0),7)</f>
        <v>7.2256947</v>
      </c>
      <c r="K13" s="274">
        <f>ROUND(VLOOKUP($E13,'BDEW-Standard'!$B$3:$M$94,K$9,0),7)</f>
        <v>3.4578200000000003E-2</v>
      </c>
      <c r="L13" s="338">
        <f>ROUND(VLOOKUP($E13,'BDEW-Standard'!$B$3:$M$94,L$9,0),1)</f>
        <v>40</v>
      </c>
      <c r="M13" s="274">
        <f>ROUND(VLOOKUP($E13,'BDEW-Standard'!$B$3:$M$94,M$9,0),7)</f>
        <v>-7.4217400000000003E-2</v>
      </c>
      <c r="N13" s="274">
        <f>ROUND(VLOOKUP($E13,'BDEW-Standard'!$B$3:$M$94,N$9,0),7)</f>
        <v>1.0448869000000001</v>
      </c>
      <c r="O13" s="274">
        <f>ROUND(VLOOKUP($E13,'BDEW-Standard'!$B$3:$M$94,O$9,0),7)</f>
        <v>-8.2950000000000005E-4</v>
      </c>
      <c r="P13" s="274">
        <f>ROUND(VLOOKUP($E13,'BDEW-Standard'!$B$3:$M$94,P$9,0),7)</f>
        <v>4.6179499999999998E-2</v>
      </c>
      <c r="Q13" s="339">
        <f t="shared" si="1"/>
        <v>1.0000000832749945</v>
      </c>
      <c r="R13" s="275">
        <f>ROUND(VLOOKUP(MID($E13,4,3),'Wochentag F(WT)'!$B$7:$J$22,R$9,0),4)</f>
        <v>1.0358000000000001</v>
      </c>
      <c r="S13" s="275">
        <f>ROUND(VLOOKUP(MID($E13,4,3),'Wochentag F(WT)'!$B$7:$J$22,S$9,0),4)</f>
        <v>1.0232000000000001</v>
      </c>
      <c r="T13" s="275">
        <f>ROUND(VLOOKUP(MID($E13,4,3),'Wochentag F(WT)'!$B$7:$J$22,T$9,0),4)</f>
        <v>1.0251999999999999</v>
      </c>
      <c r="U13" s="275">
        <f>ROUND(VLOOKUP(MID($E13,4,3),'Wochentag F(WT)'!$B$7:$J$22,U$9,0),4)</f>
        <v>1.0295000000000001</v>
      </c>
      <c r="V13" s="275">
        <f>ROUND(VLOOKUP(MID($E13,4,3),'Wochentag F(WT)'!$B$7:$J$22,V$9,0),4)</f>
        <v>1.0253000000000001</v>
      </c>
      <c r="W13" s="275">
        <f>ROUND(VLOOKUP(MID($E13,4,3),'Wochentag F(WT)'!$B$7:$J$22,W$9,0),4)</f>
        <v>0.96750000000000003</v>
      </c>
      <c r="X13" s="276">
        <f t="shared" ref="X13:X23" si="2">7-SUM(R13:W13)</f>
        <v>0.89350000000000041</v>
      </c>
      <c r="Y13" s="293">
        <v>357.04</v>
      </c>
      <c r="Z13" s="211"/>
    </row>
    <row r="14" spans="2:26" s="143" customFormat="1">
      <c r="B14" s="144">
        <v>3</v>
      </c>
      <c r="C14" s="145" t="str">
        <f t="shared" si="0"/>
        <v>Netzgebiet SLW</v>
      </c>
      <c r="D14" s="62" t="s">
        <v>246</v>
      </c>
      <c r="E14" s="165" t="s">
        <v>670</v>
      </c>
      <c r="F14" s="297" t="str">
        <f>VLOOKUP($E14,'BDEW-Standard'!$B$3:$M$94,F$9,0)</f>
        <v>OK3</v>
      </c>
      <c r="H14" s="274">
        <f>ROUND(VLOOKUP($E14,'BDEW-Standard'!$B$3:$M$94,H$9,0),7)</f>
        <v>1.3554515</v>
      </c>
      <c r="I14" s="274">
        <f>ROUND(VLOOKUP($E14,'BDEW-Standard'!$B$3:$M$94,I$9,0),7)</f>
        <v>-35.141256300000002</v>
      </c>
      <c r="J14" s="274">
        <f>ROUND(VLOOKUP($E14,'BDEW-Standard'!$B$3:$M$94,J$9,0),7)</f>
        <v>7.1303394999999998</v>
      </c>
      <c r="K14" s="274">
        <f>ROUND(VLOOKUP($E14,'BDEW-Standard'!$B$3:$M$94,K$9,0),7)</f>
        <v>9.9061899999999994E-2</v>
      </c>
      <c r="L14" s="338">
        <f>ROUND(VLOOKUP($E14,'BDEW-Standard'!$B$3:$M$94,L$9,0),1)</f>
        <v>40</v>
      </c>
      <c r="M14" s="274">
        <f>ROUND(VLOOKUP($E14,'BDEW-Standard'!$B$3:$M$94,M$9,0),7)</f>
        <v>-5.26487E-2</v>
      </c>
      <c r="N14" s="274">
        <f>ROUND(VLOOKUP($E14,'BDEW-Standard'!$B$3:$M$94,N$9,0),7)</f>
        <v>0.86260859999999995</v>
      </c>
      <c r="O14" s="274">
        <f>ROUND(VLOOKUP($E14,'BDEW-Standard'!$B$3:$M$94,O$9,0),7)</f>
        <v>-8.8080000000000005E-4</v>
      </c>
      <c r="P14" s="274">
        <f>ROUND(VLOOKUP($E14,'BDEW-Standard'!$B$3:$M$94,P$9,0),7)</f>
        <v>9.6401399999999998E-2</v>
      </c>
      <c r="Q14" s="339">
        <f t="shared" si="1"/>
        <v>0.99999998782262245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>
        <v>340.65800000000002</v>
      </c>
      <c r="Z14" s="211"/>
    </row>
    <row r="15" spans="2:26" s="143" customFormat="1">
      <c r="B15" s="144">
        <v>4</v>
      </c>
      <c r="C15" s="145" t="str">
        <f t="shared" si="0"/>
        <v>Netzgebiet SLW</v>
      </c>
      <c r="D15" s="62" t="s">
        <v>246</v>
      </c>
      <c r="E15" s="165" t="s">
        <v>672</v>
      </c>
      <c r="F15" s="297" t="str">
        <f>VLOOKUP($E15,'BDEW-Standard'!$B$3:$M$94,F$9,0)</f>
        <v>DB3</v>
      </c>
      <c r="H15" s="274">
        <f>ROUND(VLOOKUP($E15,'BDEW-Standard'!$B$3:$M$94,H$9,0),7)</f>
        <v>1.4633681999999999</v>
      </c>
      <c r="I15" s="274">
        <f>ROUND(VLOOKUP($E15,'BDEW-Standard'!$B$3:$M$94,I$9,0),7)</f>
        <v>-36.179411700000003</v>
      </c>
      <c r="J15" s="274">
        <f>ROUND(VLOOKUP($E15,'BDEW-Standard'!$B$3:$M$94,J$9,0),7)</f>
        <v>5.9265162</v>
      </c>
      <c r="K15" s="274">
        <f>ROUND(VLOOKUP($E15,'BDEW-Standard'!$B$3:$M$94,K$9,0),7)</f>
        <v>8.0883499999999997E-2</v>
      </c>
      <c r="L15" s="338">
        <f>ROUND(VLOOKUP($E15,'BDEW-Standard'!$B$3:$M$94,L$9,0),1)</f>
        <v>40</v>
      </c>
      <c r="M15" s="274">
        <f>ROUND(VLOOKUP($E15,'BDEW-Standard'!$B$3:$M$94,M$9,0),7)</f>
        <v>-4.7579999999999997E-2</v>
      </c>
      <c r="N15" s="274">
        <f>ROUND(VLOOKUP($E15,'BDEW-Standard'!$B$3:$M$94,N$9,0),7)</f>
        <v>0.82307540000000001</v>
      </c>
      <c r="O15" s="274">
        <f>ROUND(VLOOKUP($E15,'BDEW-Standard'!$B$3:$M$94,O$9,0),7)</f>
        <v>-1.9273000000000001E-3</v>
      </c>
      <c r="P15" s="274">
        <f>ROUND(VLOOKUP($E15,'BDEW-Standard'!$B$3:$M$94,P$9,0),7)</f>
        <v>0.1077046</v>
      </c>
      <c r="Q15" s="339">
        <f t="shared" si="1"/>
        <v>0.99999993818735389</v>
      </c>
      <c r="R15" s="275">
        <f>ROUND(VLOOKUP(MID($E15,4,3),'Wochentag F(WT)'!$B$7:$J$22,R$9,0),4)</f>
        <v>1.1052</v>
      </c>
      <c r="S15" s="275">
        <f>ROUND(VLOOKUP(MID($E15,4,3),'Wochentag F(WT)'!$B$7:$J$22,S$9,0),4)</f>
        <v>1.0857000000000001</v>
      </c>
      <c r="T15" s="275">
        <f>ROUND(VLOOKUP(MID($E15,4,3),'Wochentag F(WT)'!$B$7:$J$22,T$9,0),4)</f>
        <v>1.0378000000000001</v>
      </c>
      <c r="U15" s="275">
        <f>ROUND(VLOOKUP(MID($E15,4,3),'Wochentag F(WT)'!$B$7:$J$22,U$9,0),4)</f>
        <v>1.0622</v>
      </c>
      <c r="V15" s="275">
        <f>ROUND(VLOOKUP(MID($E15,4,3),'Wochentag F(WT)'!$B$7:$J$22,V$9,0),4)</f>
        <v>1.0266</v>
      </c>
      <c r="W15" s="275">
        <f>ROUND(VLOOKUP(MID($E15,4,3),'Wochentag F(WT)'!$B$7:$J$22,W$9,0),4)</f>
        <v>0.76290000000000002</v>
      </c>
      <c r="X15" s="276">
        <f t="shared" si="2"/>
        <v>0.91959999999999997</v>
      </c>
      <c r="Y15" s="293">
        <v>333.262</v>
      </c>
      <c r="Z15" s="211"/>
    </row>
    <row r="16" spans="2:26" s="143" customFormat="1">
      <c r="B16" s="144">
        <v>5</v>
      </c>
      <c r="C16" s="145" t="str">
        <f t="shared" si="0"/>
        <v>Netzgebiet SLW</v>
      </c>
      <c r="D16" s="62" t="s">
        <v>246</v>
      </c>
      <c r="E16" s="165" t="s">
        <v>673</v>
      </c>
      <c r="F16" s="297" t="str">
        <f>VLOOKUP($E16,'BDEW-Standard'!$B$3:$M$94,F$9,0)</f>
        <v>AG3</v>
      </c>
      <c r="H16" s="274">
        <f>ROUND(VLOOKUP($E16,'BDEW-Standard'!$B$3:$M$94,H$9,0),7)</f>
        <v>1.1582082</v>
      </c>
      <c r="I16" s="274">
        <f>ROUND(VLOOKUP($E16,'BDEW-Standard'!$B$3:$M$94,I$9,0),7)</f>
        <v>-36.287858399999998</v>
      </c>
      <c r="J16" s="274">
        <f>ROUND(VLOOKUP($E16,'BDEW-Standard'!$B$3:$M$94,J$9,0),7)</f>
        <v>6.5885125999999996</v>
      </c>
      <c r="K16" s="274">
        <f>ROUND(VLOOKUP($E16,'BDEW-Standard'!$B$3:$M$94,K$9,0),7)</f>
        <v>0.22356799999999999</v>
      </c>
      <c r="L16" s="338">
        <f>ROUND(VLOOKUP($E16,'BDEW-Standard'!$B$3:$M$94,L$9,0),1)</f>
        <v>40</v>
      </c>
      <c r="M16" s="274">
        <f>ROUND(VLOOKUP($E16,'BDEW-Standard'!$B$3:$M$94,M$9,0),7)</f>
        <v>-4.1033500000000001E-2</v>
      </c>
      <c r="N16" s="274">
        <f>ROUND(VLOOKUP($E16,'BDEW-Standard'!$B$3:$M$94,N$9,0),7)</f>
        <v>0.75264509999999996</v>
      </c>
      <c r="O16" s="274">
        <f>ROUND(VLOOKUP($E16,'BDEW-Standard'!$B$3:$M$94,O$9,0),7)</f>
        <v>-9.0879999999999997E-4</v>
      </c>
      <c r="P16" s="274">
        <f>ROUND(VLOOKUP($E16,'BDEW-Standard'!$B$3:$M$94,P$9,0),7)</f>
        <v>0.1916641</v>
      </c>
      <c r="Q16" s="339">
        <f t="shared" si="1"/>
        <v>0.99999977999083423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>
        <v>353.08699999999999</v>
      </c>
      <c r="Z16" s="211"/>
    </row>
    <row r="17" spans="2:26" s="143" customFormat="1">
      <c r="B17" s="144">
        <v>6</v>
      </c>
      <c r="C17" s="145" t="str">
        <f t="shared" si="0"/>
        <v>Netzgebiet SLW</v>
      </c>
      <c r="D17" s="62" t="s">
        <v>246</v>
      </c>
      <c r="E17" s="165" t="s">
        <v>674</v>
      </c>
      <c r="F17" s="297" t="str">
        <f>VLOOKUP($E17,'BDEW-Standard'!$B$3:$M$94,F$9,0)</f>
        <v>HB3</v>
      </c>
      <c r="H17" s="274">
        <f>ROUND(VLOOKUP($E17,'BDEW-Standard'!$B$3:$M$94,H$9,0),7)</f>
        <v>0.98742830000000004</v>
      </c>
      <c r="I17" s="274">
        <f>ROUND(VLOOKUP($E17,'BDEW-Standard'!$B$3:$M$94,I$9,0),7)</f>
        <v>-35.253212400000002</v>
      </c>
      <c r="J17" s="274">
        <f>ROUND(VLOOKUP($E17,'BDEW-Standard'!$B$3:$M$94,J$9,0),7)</f>
        <v>6.1544406</v>
      </c>
      <c r="K17" s="274">
        <f>ROUND(VLOOKUP($E17,'BDEW-Standard'!$B$3:$M$94,K$9,0),7)</f>
        <v>0.22657160000000001</v>
      </c>
      <c r="L17" s="338">
        <f>ROUND(VLOOKUP($E17,'BDEW-Standard'!$B$3:$M$94,L$9,0),1)</f>
        <v>40</v>
      </c>
      <c r="M17" s="274">
        <f>ROUND(VLOOKUP($E17,'BDEW-Standard'!$B$3:$M$94,M$9,0),7)</f>
        <v>-3.3902000000000002E-2</v>
      </c>
      <c r="N17" s="274">
        <f>ROUND(VLOOKUP($E17,'BDEW-Standard'!$B$3:$M$94,N$9,0),7)</f>
        <v>0.69382339999999998</v>
      </c>
      <c r="O17" s="274">
        <f>ROUND(VLOOKUP($E17,'BDEW-Standard'!$B$3:$M$94,O$9,0),7)</f>
        <v>-1.2849000000000001E-3</v>
      </c>
      <c r="P17" s="274">
        <f>ROUND(VLOOKUP($E17,'BDEW-Standard'!$B$3:$M$94,P$9,0),7)</f>
        <v>0.20297319999999999</v>
      </c>
      <c r="Q17" s="339">
        <f t="shared" si="1"/>
        <v>0.99999983700977324</v>
      </c>
      <c r="R17" s="275">
        <f>ROUND(VLOOKUP(MID($E17,4,3),'Wochentag F(WT)'!$B$7:$J$22,R$9,0),4)</f>
        <v>0.97670000000000001</v>
      </c>
      <c r="S17" s="275">
        <f>ROUND(VLOOKUP(MID($E17,4,3),'Wochentag F(WT)'!$B$7:$J$22,S$9,0),4)</f>
        <v>1.0388999999999999</v>
      </c>
      <c r="T17" s="275">
        <f>ROUND(VLOOKUP(MID($E17,4,3),'Wochentag F(WT)'!$B$7:$J$22,T$9,0),4)</f>
        <v>1.0027999999999999</v>
      </c>
      <c r="U17" s="275">
        <f>ROUND(VLOOKUP(MID($E17,4,3),'Wochentag F(WT)'!$B$7:$J$22,U$9,0),4)</f>
        <v>1.0162</v>
      </c>
      <c r="V17" s="275">
        <f>ROUND(VLOOKUP(MID($E17,4,3),'Wochentag F(WT)'!$B$7:$J$22,V$9,0),4)</f>
        <v>1.0024</v>
      </c>
      <c r="W17" s="275">
        <f>ROUND(VLOOKUP(MID($E17,4,3),'Wochentag F(WT)'!$B$7:$J$22,W$9,0),4)</f>
        <v>1.0043</v>
      </c>
      <c r="X17" s="276">
        <f t="shared" si="2"/>
        <v>0.95870000000000122</v>
      </c>
      <c r="Y17" s="293">
        <v>344.25099999999998</v>
      </c>
      <c r="Z17" s="211"/>
    </row>
    <row r="18" spans="2:26" s="143" customFormat="1">
      <c r="B18" s="144">
        <v>7</v>
      </c>
      <c r="C18" s="145" t="str">
        <f t="shared" si="0"/>
        <v>Netzgebiet SLW</v>
      </c>
      <c r="D18" s="62" t="s">
        <v>246</v>
      </c>
      <c r="E18" s="165" t="s">
        <v>675</v>
      </c>
      <c r="F18" s="297" t="str">
        <f>VLOOKUP($E18,'BDEW-Standard'!$B$3:$M$94,F$9,0)</f>
        <v>AW3</v>
      </c>
      <c r="H18" s="274">
        <f>ROUND(VLOOKUP($E18,'BDEW-Standard'!$B$3:$M$94,H$9,0),7)</f>
        <v>0.33378380000000002</v>
      </c>
      <c r="I18" s="274">
        <f>ROUND(VLOOKUP($E18,'BDEW-Standard'!$B$3:$M$94,I$9,0),7)</f>
        <v>-36.023791199999998</v>
      </c>
      <c r="J18" s="274">
        <f>ROUND(VLOOKUP($E18,'BDEW-Standard'!$B$3:$M$94,J$9,0),7)</f>
        <v>4.8662747</v>
      </c>
      <c r="K18" s="274">
        <f>ROUND(VLOOKUP($E18,'BDEW-Standard'!$B$3:$M$94,K$9,0),7)</f>
        <v>0.491228</v>
      </c>
      <c r="L18" s="338">
        <f>ROUND(VLOOKUP($E18,'BDEW-Standard'!$B$3:$M$94,L$9,0),1)</f>
        <v>40</v>
      </c>
      <c r="M18" s="274">
        <f>ROUND(VLOOKUP($E18,'BDEW-Standard'!$B$3:$M$94,M$9,0),7)</f>
        <v>-9.2262999999999998E-3</v>
      </c>
      <c r="N18" s="274">
        <f>ROUND(VLOOKUP($E18,'BDEW-Standard'!$B$3:$M$94,N$9,0),7)</f>
        <v>0.45957569999999998</v>
      </c>
      <c r="O18" s="274">
        <f>ROUND(VLOOKUP($E18,'BDEW-Standard'!$B$3:$M$94,O$9,0),7)</f>
        <v>-9.6759999999999999E-4</v>
      </c>
      <c r="P18" s="274">
        <f>ROUND(VLOOKUP($E18,'BDEW-Standard'!$B$3:$M$94,P$9,0),7)</f>
        <v>0.39642909999999998</v>
      </c>
      <c r="Q18" s="339">
        <f t="shared" si="1"/>
        <v>1.000000394217609</v>
      </c>
      <c r="R18" s="275">
        <f>ROUND(VLOOKUP(MID($E18,4,3),'Wochentag F(WT)'!$B$7:$J$22,R$9,0),4)</f>
        <v>1.2457</v>
      </c>
      <c r="S18" s="275">
        <f>ROUND(VLOOKUP(MID($E18,4,3),'Wochentag F(WT)'!$B$7:$J$22,S$9,0),4)</f>
        <v>1.2615000000000001</v>
      </c>
      <c r="T18" s="275">
        <f>ROUND(VLOOKUP(MID($E18,4,3),'Wochentag F(WT)'!$B$7:$J$22,T$9,0),4)</f>
        <v>1.2706999999999999</v>
      </c>
      <c r="U18" s="275">
        <f>ROUND(VLOOKUP(MID($E18,4,3),'Wochentag F(WT)'!$B$7:$J$22,U$9,0),4)</f>
        <v>1.2430000000000001</v>
      </c>
      <c r="V18" s="275">
        <f>ROUND(VLOOKUP(MID($E18,4,3),'Wochentag F(WT)'!$B$7:$J$22,V$9,0),4)</f>
        <v>1.1275999999999999</v>
      </c>
      <c r="W18" s="275">
        <f>ROUND(VLOOKUP(MID($E18,4,3),'Wochentag F(WT)'!$B$7:$J$22,W$9,0),4)</f>
        <v>0.38769999999999999</v>
      </c>
      <c r="X18" s="276">
        <f t="shared" si="2"/>
        <v>0.46379999999999999</v>
      </c>
      <c r="Y18" s="293">
        <v>356.98899999999998</v>
      </c>
      <c r="Z18" s="211"/>
    </row>
    <row r="19" spans="2:26" s="143" customFormat="1">
      <c r="B19" s="144">
        <v>8</v>
      </c>
      <c r="C19" s="145" t="str">
        <f t="shared" si="0"/>
        <v>Netzgebiet SLW</v>
      </c>
      <c r="D19" s="62" t="s">
        <v>246</v>
      </c>
      <c r="E19" s="165" t="s">
        <v>676</v>
      </c>
      <c r="F19" s="297" t="str">
        <f>VLOOKUP($E19,'BDEW-Standard'!$B$3:$M$94,F$9,0)</f>
        <v>BG3</v>
      </c>
      <c r="H19" s="274">
        <f>ROUND(VLOOKUP($E19,'BDEW-Standard'!$B$3:$M$94,H$9,0),7)</f>
        <v>1.8213778</v>
      </c>
      <c r="I19" s="274">
        <f>ROUND(VLOOKUP($E19,'BDEW-Standard'!$B$3:$M$94,I$9,0),7)</f>
        <v>-37.5</v>
      </c>
      <c r="J19" s="274">
        <f>ROUND(VLOOKUP($E19,'BDEW-Standard'!$B$3:$M$94,J$9,0),7)</f>
        <v>6.3462148000000003</v>
      </c>
      <c r="K19" s="274">
        <f>ROUND(VLOOKUP($E19,'BDEW-Standard'!$B$3:$M$94,K$9,0),7)</f>
        <v>6.7811800000000005E-2</v>
      </c>
      <c r="L19" s="338">
        <f>ROUND(VLOOKUP($E19,'BDEW-Standard'!$B$3:$M$94,L$9,0),1)</f>
        <v>40</v>
      </c>
      <c r="M19" s="274">
        <f>ROUND(VLOOKUP($E19,'BDEW-Standard'!$B$3:$M$94,M$9,0),7)</f>
        <v>-6.0766599999999997E-2</v>
      </c>
      <c r="N19" s="274">
        <f>ROUND(VLOOKUP($E19,'BDEW-Standard'!$B$3:$M$94,N$9,0),7)</f>
        <v>0.93081590000000003</v>
      </c>
      <c r="O19" s="274">
        <f>ROUND(VLOOKUP($E19,'BDEW-Standard'!$B$3:$M$94,O$9,0),7)</f>
        <v>-1.3967000000000001E-3</v>
      </c>
      <c r="P19" s="274">
        <f>ROUND(VLOOKUP($E19,'BDEW-Standard'!$B$3:$M$94,P$9,0),7)</f>
        <v>8.5039900000000002E-2</v>
      </c>
      <c r="Q19" s="339">
        <f t="shared" si="1"/>
        <v>0.99999980465705085</v>
      </c>
      <c r="R19" s="275">
        <f>ROUND(VLOOKUP(MID($E19,4,3),'Wochentag F(WT)'!$B$7:$J$22,R$9,0),4)</f>
        <v>0.98970000000000002</v>
      </c>
      <c r="S19" s="275">
        <f>ROUND(VLOOKUP(MID($E19,4,3),'Wochentag F(WT)'!$B$7:$J$22,S$9,0),4)</f>
        <v>0.9627</v>
      </c>
      <c r="T19" s="275">
        <f>ROUND(VLOOKUP(MID($E19,4,3),'Wochentag F(WT)'!$B$7:$J$22,T$9,0),4)</f>
        <v>1.0507</v>
      </c>
      <c r="U19" s="275">
        <f>ROUND(VLOOKUP(MID($E19,4,3),'Wochentag F(WT)'!$B$7:$J$22,U$9,0),4)</f>
        <v>1.0551999999999999</v>
      </c>
      <c r="V19" s="275">
        <f>ROUND(VLOOKUP(MID($E19,4,3),'Wochentag F(WT)'!$B$7:$J$22,V$9,0),4)</f>
        <v>1.0297000000000001</v>
      </c>
      <c r="W19" s="275">
        <f>ROUND(VLOOKUP(MID($E19,4,3),'Wochentag F(WT)'!$B$7:$J$22,W$9,0),4)</f>
        <v>0.97670000000000001</v>
      </c>
      <c r="X19" s="276">
        <f t="shared" si="2"/>
        <v>0.9352999999999998</v>
      </c>
      <c r="Y19" s="293">
        <v>348.36399999999998</v>
      </c>
      <c r="Z19" s="211"/>
    </row>
    <row r="20" spans="2:26" s="143" customFormat="1">
      <c r="B20" s="144">
        <v>9</v>
      </c>
      <c r="C20" s="145" t="str">
        <f t="shared" si="0"/>
        <v>Netzgebiet SLW</v>
      </c>
      <c r="D20" s="62" t="s">
        <v>246</v>
      </c>
      <c r="E20" s="165" t="s">
        <v>677</v>
      </c>
      <c r="F20" s="297" t="str">
        <f>VLOOKUP($E20,'BDEW-Standard'!$B$3:$M$94,F$9,0)</f>
        <v>AB3</v>
      </c>
      <c r="H20" s="274">
        <f>ROUND(VLOOKUP($E20,'BDEW-Standard'!$B$3:$M$94,H$9,0),7)</f>
        <v>0.2770087</v>
      </c>
      <c r="I20" s="274">
        <f>ROUND(VLOOKUP($E20,'BDEW-Standard'!$B$3:$M$94,I$9,0),7)</f>
        <v>-33</v>
      </c>
      <c r="J20" s="274">
        <f>ROUND(VLOOKUP($E20,'BDEW-Standard'!$B$3:$M$94,J$9,0),7)</f>
        <v>5.7212303000000002</v>
      </c>
      <c r="K20" s="274">
        <f>ROUND(VLOOKUP($E20,'BDEW-Standard'!$B$3:$M$94,K$9,0),7)</f>
        <v>0.48651179999999999</v>
      </c>
      <c r="L20" s="338">
        <f>ROUND(VLOOKUP($E20,'BDEW-Standard'!$B$3:$M$94,L$9,0),1)</f>
        <v>40</v>
      </c>
      <c r="M20" s="274">
        <f>ROUND(VLOOKUP($E20,'BDEW-Standard'!$B$3:$M$94,M$9,0),7)</f>
        <v>-9.4848999999999992E-3</v>
      </c>
      <c r="N20" s="274">
        <f>ROUND(VLOOKUP($E20,'BDEW-Standard'!$B$3:$M$94,N$9,0),7)</f>
        <v>0.46302369999999998</v>
      </c>
      <c r="O20" s="274">
        <f>ROUND(VLOOKUP($E20,'BDEW-Standard'!$B$3:$M$94,O$9,0),7)</f>
        <v>-7.1339999999999999E-4</v>
      </c>
      <c r="P20" s="274">
        <f>ROUND(VLOOKUP($E20,'BDEW-Standard'!$B$3:$M$94,P$9,0),7)</f>
        <v>0.3867447</v>
      </c>
      <c r="Q20" s="339">
        <f t="shared" si="1"/>
        <v>1.0000000764227039</v>
      </c>
      <c r="R20" s="275">
        <f>ROUND(VLOOKUP(MID($E20,4,3),'Wochentag F(WT)'!$B$7:$J$22,R$9,0),4)</f>
        <v>1.0848</v>
      </c>
      <c r="S20" s="275">
        <f>ROUND(VLOOKUP(MID($E20,4,3),'Wochentag F(WT)'!$B$7:$J$22,S$9,0),4)</f>
        <v>1.1211</v>
      </c>
      <c r="T20" s="275">
        <f>ROUND(VLOOKUP(MID($E20,4,3),'Wochentag F(WT)'!$B$7:$J$22,T$9,0),4)</f>
        <v>1.0769</v>
      </c>
      <c r="U20" s="275">
        <f>ROUND(VLOOKUP(MID($E20,4,3),'Wochentag F(WT)'!$B$7:$J$22,U$9,0),4)</f>
        <v>1.1353</v>
      </c>
      <c r="V20" s="275">
        <f>ROUND(VLOOKUP(MID($E20,4,3),'Wochentag F(WT)'!$B$7:$J$22,V$9,0),4)</f>
        <v>1.1402000000000001</v>
      </c>
      <c r="W20" s="275">
        <f>ROUND(VLOOKUP(MID($E20,4,3),'Wochentag F(WT)'!$B$7:$J$22,W$9,0),4)</f>
        <v>0.48520000000000002</v>
      </c>
      <c r="X20" s="276">
        <f t="shared" si="2"/>
        <v>0.95650000000000013</v>
      </c>
      <c r="Y20" s="293">
        <v>362.65699999999998</v>
      </c>
      <c r="Z20" s="211"/>
    </row>
    <row r="21" spans="2:26" s="143" customFormat="1">
      <c r="B21" s="144">
        <v>10</v>
      </c>
      <c r="C21" s="145" t="str">
        <f t="shared" si="0"/>
        <v>Netzgebiet SLW</v>
      </c>
      <c r="D21" s="62" t="s">
        <v>246</v>
      </c>
      <c r="E21" s="165" t="s">
        <v>678</v>
      </c>
      <c r="F21" s="297" t="str">
        <f>VLOOKUP($E21,'BDEW-Standard'!$B$3:$M$94,F$9,0)</f>
        <v>DP3</v>
      </c>
      <c r="H21" s="274">
        <f>ROUND(VLOOKUP($E21,'BDEW-Standard'!$B$3:$M$94,H$9,0),7)</f>
        <v>1.7110738999999999</v>
      </c>
      <c r="I21" s="274">
        <f>ROUND(VLOOKUP($E21,'BDEW-Standard'!$B$3:$M$94,I$9,0),7)</f>
        <v>-35.799999999999997</v>
      </c>
      <c r="J21" s="274">
        <f>ROUND(VLOOKUP($E21,'BDEW-Standard'!$B$3:$M$94,J$9,0),7)</f>
        <v>8.4</v>
      </c>
      <c r="K21" s="274">
        <f>ROUND(VLOOKUP($E21,'BDEW-Standard'!$B$3:$M$94,K$9,0),7)</f>
        <v>7.02546E-2</v>
      </c>
      <c r="L21" s="338">
        <f>ROUND(VLOOKUP($E21,'BDEW-Standard'!$B$3:$M$94,L$9,0),1)</f>
        <v>40</v>
      </c>
      <c r="M21" s="274">
        <f>ROUND(VLOOKUP($E21,'BDEW-Standard'!$B$3:$M$94,M$9,0),7)</f>
        <v>-7.4538099999999996E-2</v>
      </c>
      <c r="N21" s="274">
        <f>ROUND(VLOOKUP($E21,'BDEW-Standard'!$B$3:$M$94,N$9,0),7)</f>
        <v>1.0463005000000001</v>
      </c>
      <c r="O21" s="274">
        <f>ROUND(VLOOKUP($E21,'BDEW-Standard'!$B$3:$M$94,O$9,0),7)</f>
        <v>-3.6719999999999998E-4</v>
      </c>
      <c r="P21" s="274">
        <f>ROUND(VLOOKUP($E21,'BDEW-Standard'!$B$3:$M$94,P$9,0),7)</f>
        <v>6.2188199999999999E-2</v>
      </c>
      <c r="Q21" s="339">
        <f t="shared" si="1"/>
        <v>1.0000000773228386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>
        <v>362.37299999999999</v>
      </c>
      <c r="Z21" s="211"/>
    </row>
    <row r="22" spans="2:26" s="143" customFormat="1">
      <c r="B22" s="144">
        <v>11</v>
      </c>
      <c r="C22" s="145" t="str">
        <f t="shared" si="0"/>
        <v>Netzgebiet SLW</v>
      </c>
      <c r="D22" s="62" t="s">
        <v>246</v>
      </c>
      <c r="E22" s="165" t="s">
        <v>679</v>
      </c>
      <c r="F22" s="297" t="str">
        <f>VLOOKUP($E22,'BDEW-Standard'!$B$3:$M$94,F$9,0)</f>
        <v>FM3</v>
      </c>
      <c r="H22" s="274">
        <f>ROUND(VLOOKUP($E22,'BDEW-Standard'!$B$3:$M$94,H$9,0),7)</f>
        <v>1.2328654999999999</v>
      </c>
      <c r="I22" s="274">
        <f>ROUND(VLOOKUP($E22,'BDEW-Standard'!$B$3:$M$94,I$9,0),7)</f>
        <v>-34.721360500000003</v>
      </c>
      <c r="J22" s="274">
        <f>ROUND(VLOOKUP($E22,'BDEW-Standard'!$B$3:$M$94,J$9,0),7)</f>
        <v>5.8164303999999998</v>
      </c>
      <c r="K22" s="274">
        <f>ROUND(VLOOKUP($E22,'BDEW-Standard'!$B$3:$M$94,K$9,0),7)</f>
        <v>8.7335200000000002E-2</v>
      </c>
      <c r="L22" s="338">
        <f>ROUND(VLOOKUP($E22,'BDEW-Standard'!$B$3:$M$94,L$9,0),1)</f>
        <v>40</v>
      </c>
      <c r="M22" s="274">
        <f>ROUND(VLOOKUP($E22,'BDEW-Standard'!$B$3:$M$94,M$9,0),7)</f>
        <v>-4.0928399999999997E-2</v>
      </c>
      <c r="N22" s="274">
        <f>ROUND(VLOOKUP($E22,'BDEW-Standard'!$B$3:$M$94,N$9,0),7)</f>
        <v>0.76729199999999997</v>
      </c>
      <c r="O22" s="274">
        <f>ROUND(VLOOKUP($E22,'BDEW-Standard'!$B$3:$M$94,O$9,0),7)</f>
        <v>-2.232E-3</v>
      </c>
      <c r="P22" s="274">
        <f>ROUND(VLOOKUP($E22,'BDEW-Standard'!$B$3:$M$94,P$9,0),7)</f>
        <v>0.11992070000000001</v>
      </c>
      <c r="Q22" s="339">
        <f t="shared" si="1"/>
        <v>0.99999997653191475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>
        <v>329.03500000000003</v>
      </c>
      <c r="Z22" s="211"/>
    </row>
    <row r="23" spans="2:26" s="143" customFormat="1">
      <c r="B23" s="144">
        <v>12</v>
      </c>
      <c r="C23" s="145" t="str">
        <f t="shared" si="0"/>
        <v>Netzgebiet SLW</v>
      </c>
      <c r="D23" s="62" t="s">
        <v>246</v>
      </c>
      <c r="E23" s="165" t="s">
        <v>680</v>
      </c>
      <c r="F23" s="297" t="str">
        <f>VLOOKUP($E23,'BDEW-Standard'!$B$3:$M$94,F$9,0)</f>
        <v>DH3</v>
      </c>
      <c r="H23" s="274">
        <f>ROUND(VLOOKUP($E23,'BDEW-Standard'!$B$3:$M$94,H$9,0),7)</f>
        <v>1.3010622999999999</v>
      </c>
      <c r="I23" s="274">
        <f>ROUND(VLOOKUP($E23,'BDEW-Standard'!$B$3:$M$94,I$9,0),7)</f>
        <v>-35.681614400000001</v>
      </c>
      <c r="J23" s="274">
        <f>ROUND(VLOOKUP($E23,'BDEW-Standard'!$B$3:$M$94,J$9,0),7)</f>
        <v>6.6857975999999999</v>
      </c>
      <c r="K23" s="274">
        <f>ROUND(VLOOKUP($E23,'BDEW-Standard'!$B$3:$M$94,K$9,0),7)</f>
        <v>0.14092669999999999</v>
      </c>
      <c r="L23" s="338">
        <f>ROUND(VLOOKUP($E23,'BDEW-Standard'!$B$3:$M$94,L$9,0),1)</f>
        <v>40</v>
      </c>
      <c r="M23" s="274">
        <f>ROUND(VLOOKUP($E23,'BDEW-Standard'!$B$3:$M$94,M$9,0),7)</f>
        <v>-4.7342799999999997E-2</v>
      </c>
      <c r="N23" s="274">
        <f>ROUND(VLOOKUP($E23,'BDEW-Standard'!$B$3:$M$94,N$9,0),7)</f>
        <v>0.81416909999999998</v>
      </c>
      <c r="O23" s="274">
        <f>ROUND(VLOOKUP($E23,'BDEW-Standard'!$B$3:$M$94,O$9,0),7)</f>
        <v>-1.0601E-3</v>
      </c>
      <c r="P23" s="274">
        <f>ROUND(VLOOKUP($E23,'BDEW-Standard'!$B$3:$M$94,P$9,0),7)</f>
        <v>0.13250919999999999</v>
      </c>
      <c r="Q23" s="339">
        <f t="shared" si="1"/>
        <v>1.000000069455792</v>
      </c>
      <c r="R23" s="275">
        <f>ROUND(VLOOKUP(MID($E23,4,3),'Wochentag F(WT)'!$B$7:$J$22,R$9,0),4)</f>
        <v>1.03</v>
      </c>
      <c r="S23" s="275">
        <f>ROUND(VLOOKUP(MID($E23,4,3),'Wochentag F(WT)'!$B$7:$J$22,S$9,0),4)</f>
        <v>1.03</v>
      </c>
      <c r="T23" s="275">
        <f>ROUND(VLOOKUP(MID($E23,4,3),'Wochentag F(WT)'!$B$7:$J$22,T$9,0),4)</f>
        <v>1.02</v>
      </c>
      <c r="U23" s="275">
        <f>ROUND(VLOOKUP(MID($E23,4,3),'Wochentag F(WT)'!$B$7:$J$22,U$9,0),4)</f>
        <v>1.03</v>
      </c>
      <c r="V23" s="275">
        <f>ROUND(VLOOKUP(MID($E23,4,3),'Wochentag F(WT)'!$B$7:$J$22,V$9,0),4)</f>
        <v>1.01</v>
      </c>
      <c r="W23" s="275">
        <f>ROUND(VLOOKUP(MID($E23,4,3),'Wochentag F(WT)'!$B$7:$J$22,W$9,0),4)</f>
        <v>0.93</v>
      </c>
      <c r="X23" s="276">
        <f t="shared" si="2"/>
        <v>0.95000000000000018</v>
      </c>
      <c r="Y23" s="293">
        <v>342.95400000000001</v>
      </c>
      <c r="Z23" s="211"/>
    </row>
    <row r="24" spans="2:26" s="143" customFormat="1">
      <c r="B24" s="144">
        <v>13</v>
      </c>
      <c r="C24" s="145" t="str">
        <f t="shared" si="0"/>
        <v>Netzgebiet SLW</v>
      </c>
      <c r="D24" s="62" t="s">
        <v>246</v>
      </c>
      <c r="E24" s="165" t="s">
        <v>681</v>
      </c>
      <c r="F24" s="297" t="str">
        <f>VLOOKUP($E24,'BDEW-Standard'!$B$3:$M$94,F$9,0)</f>
        <v>1D3</v>
      </c>
      <c r="H24" s="274">
        <f>ROUND(VLOOKUP($E24,'BDEW-Standard'!$B$3:$M$94,H$9,0),7)</f>
        <v>1.6209544</v>
      </c>
      <c r="I24" s="274">
        <f>ROUND(VLOOKUP($E24,'BDEW-Standard'!$B$3:$M$94,I$9,0),7)</f>
        <v>-37.183314099999997</v>
      </c>
      <c r="J24" s="274">
        <f>ROUND(VLOOKUP($E24,'BDEW-Standard'!$B$3:$M$94,J$9,0),7)</f>
        <v>5.6727847000000002</v>
      </c>
      <c r="K24" s="274">
        <f>ROUND(VLOOKUP($E24,'BDEW-Standard'!$B$3:$M$94,K$9,0),7)</f>
        <v>7.1643100000000001E-2</v>
      </c>
      <c r="L24" s="338">
        <f>ROUND(VLOOKUP($E24,'BDEW-Standard'!$B$3:$M$94,L$9,0),1)</f>
        <v>40</v>
      </c>
      <c r="M24" s="274">
        <f>ROUND(VLOOKUP($E24,'BDEW-Standard'!$B$3:$M$94,M$9,0),7)</f>
        <v>-4.9570000000000003E-2</v>
      </c>
      <c r="N24" s="274">
        <f>ROUND(VLOOKUP($E24,'BDEW-Standard'!$B$3:$M$94,N$9,0),7)</f>
        <v>0.84010149999999995</v>
      </c>
      <c r="O24" s="274">
        <f>ROUND(VLOOKUP($E24,'BDEW-Standard'!$B$3:$M$94,O$9,0),7)</f>
        <v>-2.209E-3</v>
      </c>
      <c r="P24" s="274">
        <f>ROUND(VLOOKUP($E24,'BDEW-Standard'!$B$3:$M$94,P$9,0),7)</f>
        <v>0.1074468</v>
      </c>
      <c r="Q24" s="339">
        <f t="shared" si="1"/>
        <v>1.0000001417752751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ref="X24" si="3">7-SUM(R24:W24)</f>
        <v>1</v>
      </c>
      <c r="Y24" s="293">
        <v>338.50799999999998</v>
      </c>
      <c r="Z24" s="211"/>
    </row>
    <row r="25" spans="2:26" s="143" customFormat="1">
      <c r="B25" s="144">
        <v>14</v>
      </c>
      <c r="C25" s="145" t="str">
        <f t="shared" si="0"/>
        <v>Netzgebiet SLW</v>
      </c>
      <c r="D25" s="62" t="s">
        <v>246</v>
      </c>
      <c r="E25" s="165" t="s">
        <v>682</v>
      </c>
      <c r="F25" s="297" t="str">
        <f>VLOOKUP($E25,'BDEW-Standard'!$B$3:$M$94,F$9,0)</f>
        <v>2D3</v>
      </c>
      <c r="H25" s="274">
        <f>ROUND(VLOOKUP($E25,'BDEW-Standard'!$B$3:$M$94,H$9,0),7)</f>
        <v>1.2328654999999999</v>
      </c>
      <c r="I25" s="274">
        <f>ROUND(VLOOKUP($E25,'BDEW-Standard'!$B$3:$M$94,I$9,0),7)</f>
        <v>-34.721360500000003</v>
      </c>
      <c r="J25" s="274">
        <f>ROUND(VLOOKUP($E25,'BDEW-Standard'!$B$3:$M$94,J$9,0),7)</f>
        <v>5.8164303999999998</v>
      </c>
      <c r="K25" s="274">
        <f>ROUND(VLOOKUP($E25,'BDEW-Standard'!$B$3:$M$94,K$9,0),7)</f>
        <v>8.7335200000000002E-2</v>
      </c>
      <c r="L25" s="338">
        <f>ROUND(VLOOKUP($E25,'BDEW-Standard'!$B$3:$M$94,L$9,0),1)</f>
        <v>40</v>
      </c>
      <c r="M25" s="274">
        <f>ROUND(VLOOKUP($E25,'BDEW-Standard'!$B$3:$M$94,M$9,0),7)</f>
        <v>-4.0928399999999997E-2</v>
      </c>
      <c r="N25" s="274">
        <f>ROUND(VLOOKUP($E25,'BDEW-Standard'!$B$3:$M$94,N$9,0),7)</f>
        <v>0.76729199999999997</v>
      </c>
      <c r="O25" s="274">
        <f>ROUND(VLOOKUP($E25,'BDEW-Standard'!$B$3:$M$94,O$9,0),7)</f>
        <v>-2.232E-3</v>
      </c>
      <c r="P25" s="274">
        <f>ROUND(VLOOKUP($E25,'BDEW-Standard'!$B$3:$M$94,P$9,0),7)</f>
        <v>0.11992070000000001</v>
      </c>
      <c r="Q25" s="339">
        <f t="shared" si="1"/>
        <v>0.99999997653191475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ref="X25" si="4">7-SUM(R25:W25)</f>
        <v>1</v>
      </c>
      <c r="Y25" s="293">
        <v>330.21899999999999</v>
      </c>
      <c r="Z25" s="211"/>
    </row>
    <row r="26" spans="2:26" s="143" customFormat="1">
      <c r="B26" s="144">
        <v>15</v>
      </c>
      <c r="C26" s="145" t="str">
        <f t="shared" si="0"/>
        <v>Netzgebiet SLW</v>
      </c>
      <c r="D26" s="62" t="s">
        <v>246</v>
      </c>
      <c r="E26" s="166" t="s">
        <v>683</v>
      </c>
      <c r="F26" s="297" t="str">
        <f>VLOOKUP($E26,'BDEW-Standard'!$B$3:$M$94,F$9,0)</f>
        <v>HK3</v>
      </c>
      <c r="H26" s="274">
        <f>ROUND(VLOOKUP($E26,'BDEW-Standard'!$B$3:$M$94,H$9,0),7)</f>
        <v>0.40409319999999999</v>
      </c>
      <c r="I26" s="274">
        <f>ROUND(VLOOKUP($E26,'BDEW-Standard'!$B$3:$M$94,I$9,0),7)</f>
        <v>-24.439296800000001</v>
      </c>
      <c r="J26" s="274">
        <f>ROUND(VLOOKUP($E26,'BDEW-Standard'!$B$3:$M$94,J$9,0),7)</f>
        <v>6.5718174999999999</v>
      </c>
      <c r="K26" s="274">
        <f>ROUND(VLOOKUP($E26,'BDEW-Standard'!$B$3:$M$94,K$9,0),7)</f>
        <v>0.71077100000000004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1.0561214000512988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ref="X26" si="5">7-SUM(R26:W26)</f>
        <v>1</v>
      </c>
      <c r="Y26" s="293">
        <v>364.00599999999997</v>
      </c>
      <c r="Z26" s="211"/>
    </row>
    <row r="27" spans="2:26" s="143" customFormat="1">
      <c r="B27" s="144">
        <v>16</v>
      </c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23 M11:P23 R11:Y23 R28:Y41 M28:P41 H28:K41 F28:F41 F11:F24 Y24:Y27">
    <cfRule type="expression" dxfId="32" priority="54">
      <formula>ISERROR(F11)</formula>
    </cfRule>
  </conditionalFormatting>
  <conditionalFormatting sqref="Y12:Y41 E28:F41 E12:F24 E25">
    <cfRule type="duplicateValues" dxfId="31" priority="76"/>
  </conditionalFormatting>
  <conditionalFormatting sqref="L11:L23 L28:L41">
    <cfRule type="expression" dxfId="30" priority="45">
      <formula>ISERROR(L11)</formula>
    </cfRule>
  </conditionalFormatting>
  <conditionalFormatting sqref="Q11:Q23 Q28:Q41">
    <cfRule type="expression" dxfId="29" priority="44">
      <formula>ISERROR(Q11)</formula>
    </cfRule>
  </conditionalFormatting>
  <conditionalFormatting sqref="H24:K24 M24:P24 R24:X24">
    <cfRule type="expression" dxfId="28" priority="35">
      <formula>ISERROR(H24)</formula>
    </cfRule>
  </conditionalFormatting>
  <conditionalFormatting sqref="L24">
    <cfRule type="expression" dxfId="27" priority="34">
      <formula>ISERROR(L24)</formula>
    </cfRule>
  </conditionalFormatting>
  <conditionalFormatting sqref="Q24">
    <cfRule type="expression" dxfId="26" priority="33">
      <formula>ISERROR(Q24)</formula>
    </cfRule>
  </conditionalFormatting>
  <conditionalFormatting sqref="F25">
    <cfRule type="expression" dxfId="25" priority="31">
      <formula>ISERROR(F25)</formula>
    </cfRule>
  </conditionalFormatting>
  <conditionalFormatting sqref="F25">
    <cfRule type="duplicateValues" dxfId="24" priority="32"/>
  </conditionalFormatting>
  <conditionalFormatting sqref="H25:K25 M25:P25 R25:X25">
    <cfRule type="expression" dxfId="23" priority="30">
      <formula>ISERROR(H25)</formula>
    </cfRule>
  </conditionalFormatting>
  <conditionalFormatting sqref="L25">
    <cfRule type="expression" dxfId="22" priority="29">
      <formula>ISERROR(L25)</formula>
    </cfRule>
  </conditionalFormatting>
  <conditionalFormatting sqref="Q25">
    <cfRule type="expression" dxfId="21" priority="28">
      <formula>ISERROR(Q25)</formula>
    </cfRule>
  </conditionalFormatting>
  <conditionalFormatting sqref="R27:X27 M27:P27 H27:K27 F27">
    <cfRule type="expression" dxfId="20" priority="15">
      <formula>ISERROR(F27)</formula>
    </cfRule>
  </conditionalFormatting>
  <conditionalFormatting sqref="E27:F27">
    <cfRule type="duplicateValues" dxfId="19" priority="17"/>
  </conditionalFormatting>
  <conditionalFormatting sqref="L27">
    <cfRule type="expression" dxfId="18" priority="14">
      <formula>ISERROR(L27)</formula>
    </cfRule>
  </conditionalFormatting>
  <conditionalFormatting sqref="Q27">
    <cfRule type="expression" dxfId="17" priority="13">
      <formula>ISERROR(Q27)</formula>
    </cfRule>
  </conditionalFormatting>
  <conditionalFormatting sqref="E26">
    <cfRule type="duplicateValues" dxfId="16" priority="12"/>
  </conditionalFormatting>
  <conditionalFormatting sqref="F26">
    <cfRule type="expression" dxfId="15" priority="5">
      <formula>ISERROR(F26)</formula>
    </cfRule>
  </conditionalFormatting>
  <conditionalFormatting sqref="F26">
    <cfRule type="duplicateValues" dxfId="14" priority="6"/>
  </conditionalFormatting>
  <conditionalFormatting sqref="H26:K26 M26:P26 R26:X26">
    <cfRule type="expression" dxfId="13" priority="4">
      <formula>ISERROR(H26)</formula>
    </cfRule>
  </conditionalFormatting>
  <conditionalFormatting sqref="L26">
    <cfRule type="expression" dxfId="12" priority="3">
      <formula>ISERROR(L26)</formula>
    </cfRule>
  </conditionalFormatting>
  <conditionalFormatting sqref="Q26">
    <cfRule type="expression" dxfId="11" priority="2">
      <formula>ISERROR(Q26)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3 C13:C23 M12:X23" unlockedFormula="1"/>
    <ignoredError sqref="L12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D11:D24 D28:D41</xm:sqref>
        </x14:conditionalFormatting>
        <x14:conditionalFormatting xmlns:xm="http://schemas.microsoft.com/office/excel/2006/main">
          <x14:cfRule type="expression" priority="46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16" id="{5AB3B224-9F00-4FDA-BCF8-5F909FE55B18}">
            <xm:f>D27&lt;&gt;IF(ISERROR(VLOOKUP($E27,'BDEW-Standard'!$B$3:$M$158,1,0)),"Ind.-Koef.","BDEW")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7" id="{6FB72E7E-72E1-4E5C-84D0-4A9F8BE2539C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" id="{F69DA491-4008-4893-AE72-5A9833D2327F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B1" zoomScaleNormal="100" workbookViewId="0">
      <selection activeCell="S17" sqref="S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Lutherstadt Wittenberg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Netzgebiet SLW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9870047200009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43101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J11" sqref="J11:M12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Thomas Vier</cp:lastModifiedBy>
  <cp:lastPrinted>2015-03-20T22:59:10Z</cp:lastPrinted>
  <dcterms:created xsi:type="dcterms:W3CDTF">2015-01-15T05:25:41Z</dcterms:created>
  <dcterms:modified xsi:type="dcterms:W3CDTF">2017-10-26T06:46:43Z</dcterms:modified>
</cp:coreProperties>
</file>